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varssektoren-my.sharepoint.com/personal/jooien_mil_no/Documents/Sjøkrigsskolen/TEK4/OPG3301 Bacheloroppgave/Vedlegg/"/>
    </mc:Choice>
  </mc:AlternateContent>
  <xr:revisionPtr revIDLastSave="2" documentId="8_{8A09D45C-F9C8-4F75-A153-BD15C3856F60}" xr6:coauthVersionLast="47" xr6:coauthVersionMax="47" xr10:uidLastSave="{22A2F4E3-7327-48CA-B547-45285D0EF05E}"/>
  <bookViews>
    <workbookView xWindow="-110" yWindow="-110" windowWidth="19420" windowHeight="10420" xr2:uid="{637BC6F8-2084-442A-BC2A-904D972B1BE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 l="1"/>
  <c r="I22" i="1"/>
  <c r="D22" i="1" l="1"/>
  <c r="D18" i="1"/>
  <c r="E18" i="1" s="1"/>
  <c r="D13" i="1"/>
  <c r="E13" i="1" s="1"/>
  <c r="E22" i="1" l="1"/>
  <c r="E16" i="1"/>
  <c r="G16" i="1" s="1"/>
  <c r="E11" i="1"/>
  <c r="D17" i="1"/>
  <c r="E17" i="1" s="1"/>
  <c r="G17" i="1" s="1"/>
  <c r="D15" i="1"/>
  <c r="E15" i="1" s="1"/>
  <c r="G15" i="1" s="1"/>
  <c r="F11" i="1"/>
  <c r="D12" i="1"/>
  <c r="E12" i="1" s="1"/>
  <c r="D10" i="1"/>
  <c r="E10" i="1" s="1"/>
  <c r="E6" i="1"/>
  <c r="E4" i="1"/>
  <c r="H17" i="1" l="1"/>
  <c r="H16" i="1"/>
  <c r="G10" i="1"/>
  <c r="H10" i="1" s="1"/>
  <c r="G19" i="1"/>
  <c r="H15" i="1"/>
  <c r="G11" i="1"/>
  <c r="H11" i="1" s="1"/>
  <c r="G12" i="1"/>
  <c r="H12" i="1" s="1"/>
  <c r="H19" i="1" l="1"/>
  <c r="H14" i="1"/>
  <c r="G14" i="1"/>
  <c r="G21" i="1" s="1"/>
  <c r="H21" i="1" l="1"/>
</calcChain>
</file>

<file path=xl/sharedStrings.xml><?xml version="1.0" encoding="utf-8"?>
<sst xmlns="http://schemas.openxmlformats.org/spreadsheetml/2006/main" count="81" uniqueCount="36">
  <si>
    <t>Tetthet diesel, ρ =</t>
  </si>
  <si>
    <t>kg/m^3</t>
  </si>
  <si>
    <t xml:space="preserve">Formel for g/kWh til L/h er: </t>
  </si>
  <si>
    <t xml:space="preserve">Tid gen til kai per år (6 uker) = </t>
  </si>
  <si>
    <t>h</t>
  </si>
  <si>
    <t xml:space="preserve">Tid gen seiling per år = </t>
  </si>
  <si>
    <t>Pris for marin gassolje=</t>
  </si>
  <si>
    <t>kr</t>
  </si>
  <si>
    <t>Last</t>
  </si>
  <si>
    <t>Last i effekt, P [kW]</t>
  </si>
  <si>
    <t>Dieselforbruk, Q [L/h]</t>
  </si>
  <si>
    <t>Antall timer i drift per år [h/y]</t>
  </si>
  <si>
    <t>Antall liter per år per fregatt [L/y]</t>
  </si>
  <si>
    <t>Kostnad per år [kr/y]</t>
  </si>
  <si>
    <t xml:space="preserve"> Seiling 55% x 1 gen</t>
  </si>
  <si>
    <t xml:space="preserve"> Seiling 75% x 1 gen</t>
  </si>
  <si>
    <t>Kailigge 75% x 1 gen</t>
  </si>
  <si>
    <t>N/A</t>
  </si>
  <si>
    <t>-----</t>
  </si>
  <si>
    <t>------</t>
  </si>
  <si>
    <t>Generell VSDG 1000kW</t>
  </si>
  <si>
    <t>Avlesning fra diagram</t>
  </si>
  <si>
    <t>Data for marin gassolje og brukstid på generatorer</t>
  </si>
  <si>
    <t>VSDG [g/kWh]</t>
  </si>
  <si>
    <t>FSDG [g/kWh]</t>
  </si>
  <si>
    <t>VSDG total</t>
  </si>
  <si>
    <t>FSDG total</t>
  </si>
  <si>
    <t xml:space="preserve"> Seiling 25% x 4 gen</t>
  </si>
  <si>
    <t>---</t>
  </si>
  <si>
    <t>Besparelse [%]</t>
  </si>
  <si>
    <t>Besparelse ved bruk av VSDG per fregatt under lengre perioder</t>
  </si>
  <si>
    <t>Besparelse under klart skip</t>
  </si>
  <si>
    <t>FSDG</t>
  </si>
  <si>
    <t>VSDG</t>
  </si>
  <si>
    <t xml:space="preserve">q = spesifikt drivstofforbruk, P = effekt, 𝜌 = tetthet til diesel </t>
  </si>
  <si>
    <t>Besparelse (5 fregatter over 30 år) [kr]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</si>
</sst>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&quot;kr&quot;\ #,##0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1" fillId="2" borderId="10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1" xfId="1" quotePrefix="1" applyBorder="1" applyAlignment="1">
      <alignment horizontal="center" vertical="center"/>
    </xf>
    <xf numFmtId="164" fontId="1" fillId="2" borderId="11" xfId="1" quotePrefix="1" applyNumberFormat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13" xfId="1" quotePrefix="1" applyBorder="1" applyAlignment="1">
      <alignment horizontal="center" vertical="center"/>
    </xf>
    <xf numFmtId="164" fontId="1" fillId="2" borderId="13" xfId="1" quotePrefix="1" applyNumberFormat="1" applyBorder="1" applyAlignment="1">
      <alignment horizontal="center" vertical="center"/>
    </xf>
    <xf numFmtId="1" fontId="1" fillId="2" borderId="13" xfId="1" quotePrefix="1" applyNumberFormat="1" applyBorder="1" applyAlignment="1">
      <alignment horizontal="center" vertical="center"/>
    </xf>
    <xf numFmtId="0" fontId="1" fillId="2" borderId="16" xfId="1" applyBorder="1" applyAlignment="1">
      <alignment horizontal="center" vertical="center"/>
    </xf>
    <xf numFmtId="0" fontId="1" fillId="2" borderId="16" xfId="1" quotePrefix="1" applyBorder="1" applyAlignment="1">
      <alignment horizontal="center" vertical="center"/>
    </xf>
    <xf numFmtId="164" fontId="1" fillId="2" borderId="16" xfId="1" quotePrefix="1" applyNumberFormat="1" applyBorder="1" applyAlignment="1">
      <alignment horizontal="center" vertical="center"/>
    </xf>
    <xf numFmtId="1" fontId="1" fillId="2" borderId="16" xfId="1" quotePrefix="1" applyNumberFormat="1" applyBorder="1" applyAlignment="1">
      <alignment horizontal="center" vertical="center"/>
    </xf>
    <xf numFmtId="166" fontId="1" fillId="2" borderId="11" xfId="1" quotePrefix="1" applyNumberFormat="1" applyBorder="1" applyAlignment="1">
      <alignment horizontal="center" vertical="center"/>
    </xf>
    <xf numFmtId="166" fontId="1" fillId="2" borderId="16" xfId="1" quotePrefix="1" applyNumberFormat="1" applyBorder="1" applyAlignment="1">
      <alignment horizontal="center" vertical="center"/>
    </xf>
    <xf numFmtId="166" fontId="1" fillId="2" borderId="10" xfId="1" quotePrefix="1" applyNumberFormat="1" applyBorder="1" applyAlignment="1">
      <alignment horizontal="center" vertical="center"/>
    </xf>
    <xf numFmtId="0" fontId="1" fillId="2" borderId="11" xfId="1" applyBorder="1" applyAlignment="1">
      <alignment horizontal="center" vertical="center" wrapText="1"/>
    </xf>
    <xf numFmtId="0" fontId="3" fillId="2" borderId="12" xfId="1" applyFont="1" applyBorder="1" applyAlignment="1">
      <alignment horizontal="center" vertical="center" wrapText="1"/>
    </xf>
    <xf numFmtId="9" fontId="1" fillId="2" borderId="16" xfId="1" quotePrefix="1" applyNumberFormat="1" applyBorder="1" applyAlignment="1">
      <alignment horizontal="center" vertical="center"/>
    </xf>
    <xf numFmtId="0" fontId="3" fillId="2" borderId="15" xfId="1" applyFont="1" applyBorder="1" applyAlignment="1">
      <alignment horizontal="center" vertical="center" wrapText="1"/>
    </xf>
    <xf numFmtId="9" fontId="1" fillId="2" borderId="11" xfId="1" applyNumberFormat="1" applyBorder="1" applyAlignment="1">
      <alignment horizontal="center" vertical="center"/>
    </xf>
    <xf numFmtId="164" fontId="1" fillId="2" borderId="11" xfId="1" applyNumberFormat="1" applyBorder="1" applyAlignment="1">
      <alignment horizontal="center" vertical="center"/>
    </xf>
    <xf numFmtId="1" fontId="1" fillId="2" borderId="11" xfId="1" applyNumberFormat="1" applyBorder="1" applyAlignment="1">
      <alignment horizontal="center" vertical="center"/>
    </xf>
    <xf numFmtId="165" fontId="1" fillId="2" borderId="11" xfId="1" applyNumberFormat="1" applyBorder="1" applyAlignment="1">
      <alignment horizontal="center" vertical="center"/>
    </xf>
    <xf numFmtId="166" fontId="1" fillId="2" borderId="11" xfId="1" applyNumberFormat="1" applyBorder="1" applyAlignment="1">
      <alignment horizontal="center" vertical="center"/>
    </xf>
    <xf numFmtId="0" fontId="1" fillId="2" borderId="16" xfId="1" applyBorder="1" applyAlignment="1">
      <alignment horizontal="center" vertical="center" wrapText="1"/>
    </xf>
    <xf numFmtId="165" fontId="1" fillId="2" borderId="16" xfId="1" applyNumberFormat="1" applyBorder="1" applyAlignment="1">
      <alignment horizontal="center" vertical="center"/>
    </xf>
    <xf numFmtId="166" fontId="1" fillId="2" borderId="16" xfId="1" applyNumberFormat="1" applyBorder="1" applyAlignment="1">
      <alignment horizontal="center" vertical="center"/>
    </xf>
    <xf numFmtId="9" fontId="1" fillId="2" borderId="10" xfId="1" applyNumberFormat="1" applyBorder="1" applyAlignment="1">
      <alignment horizontal="center" vertical="center"/>
    </xf>
    <xf numFmtId="164" fontId="1" fillId="2" borderId="10" xfId="1" applyNumberFormat="1" applyBorder="1" applyAlignment="1">
      <alignment horizontal="center" vertical="center"/>
    </xf>
    <xf numFmtId="1" fontId="1" fillId="2" borderId="10" xfId="1" applyNumberFormat="1" applyBorder="1" applyAlignment="1">
      <alignment horizontal="center" vertical="center"/>
    </xf>
    <xf numFmtId="165" fontId="1" fillId="2" borderId="10" xfId="1" applyNumberFormat="1" applyBorder="1" applyAlignment="1">
      <alignment horizontal="center" vertical="center"/>
    </xf>
    <xf numFmtId="166" fontId="1" fillId="2" borderId="10" xfId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2" borderId="13" xfId="1" applyNumberFormat="1" applyBorder="1" applyAlignment="1">
      <alignment horizontal="center" vertical="center"/>
    </xf>
    <xf numFmtId="166" fontId="1" fillId="2" borderId="13" xfId="1" applyNumberFormat="1" applyBorder="1" applyAlignment="1">
      <alignment horizontal="center" vertical="center"/>
    </xf>
    <xf numFmtId="9" fontId="1" fillId="2" borderId="16" xfId="1" applyNumberFormat="1" applyBorder="1" applyAlignment="1">
      <alignment horizontal="center" vertical="center"/>
    </xf>
    <xf numFmtId="164" fontId="1" fillId="2" borderId="16" xfId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1" fillId="2" borderId="18" xfId="2" applyNumberFormat="1" applyFont="1" applyFill="1" applyBorder="1" applyAlignment="1">
      <alignment horizontal="center" vertical="center"/>
    </xf>
    <xf numFmtId="10" fontId="1" fillId="2" borderId="17" xfId="1" applyNumberFormat="1" applyBorder="1" applyAlignment="1">
      <alignment horizontal="center" vertical="center"/>
    </xf>
    <xf numFmtId="166" fontId="1" fillId="2" borderId="14" xfId="2" applyNumberFormat="1" applyFont="1" applyFill="1" applyBorder="1" applyAlignment="1">
      <alignment horizontal="center" vertical="center"/>
    </xf>
    <xf numFmtId="0" fontId="1" fillId="2" borderId="10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3">
    <cellStyle name="Beregning" xfId="1" builtinId="22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121770</xdr:colOff>
      <xdr:row>4</xdr:row>
      <xdr:rowOff>17183</xdr:rowOff>
    </xdr:from>
    <xdr:ext cx="648191" cy="345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845DA412-2B38-42CE-B627-319C28772E27}"/>
                </a:ext>
              </a:extLst>
            </xdr:cNvPr>
            <xdr:cNvSpPr txBox="1"/>
          </xdr:nvSpPr>
          <xdr:spPr>
            <a:xfrm>
              <a:off x="2680820" y="385483"/>
              <a:ext cx="64819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nb-NO" sz="110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𝜌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845DA412-2B38-42CE-B627-319C28772E27}"/>
                </a:ext>
              </a:extLst>
            </xdr:cNvPr>
            <xdr:cNvSpPr txBox="1"/>
          </xdr:nvSpPr>
          <xdr:spPr>
            <a:xfrm>
              <a:off x="2680820" y="385483"/>
              <a:ext cx="64819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i="0">
                  <a:latin typeface="Cambria Math" panose="02040503050406030204" pitchFamily="18" charset="0"/>
                </a:rPr>
                <a:t>𝑄 =</a:t>
              </a:r>
              <a:r>
                <a:rPr lang="nb-NO" sz="1100" b="0" i="0">
                  <a:latin typeface="Cambria Math" panose="02040503050406030204" pitchFamily="18" charset="0"/>
                </a:rPr>
                <a:t>(𝑞∗𝑃)/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𝜌</a:t>
              </a:r>
              <a:endParaRPr lang="nb-NO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80167-FF1C-4D49-81F7-48B89EEA19E6}">
  <dimension ref="B2:O22"/>
  <sheetViews>
    <sheetView tabSelected="1" topLeftCell="B1" zoomScale="70" zoomScaleNormal="70" workbookViewId="0">
      <selection activeCell="J22" sqref="J22"/>
    </sheetView>
  </sheetViews>
  <sheetFormatPr baseColWidth="10" defaultRowHeight="14.5" x14ac:dyDescent="0.35"/>
  <cols>
    <col min="2" max="2" width="32.26953125" bestFit="1" customWidth="1"/>
    <col min="3" max="3" width="17.36328125" bestFit="1" customWidth="1"/>
    <col min="4" max="4" width="43.6328125" bestFit="1" customWidth="1"/>
    <col min="5" max="5" width="19.08984375" bestFit="1" customWidth="1"/>
    <col min="6" max="6" width="25.90625" bestFit="1" customWidth="1"/>
    <col min="7" max="7" width="29" bestFit="1" customWidth="1"/>
    <col min="8" max="8" width="18.453125" bestFit="1" customWidth="1"/>
    <col min="9" max="9" width="13" bestFit="1" customWidth="1"/>
    <col min="10" max="10" width="33.08984375" bestFit="1" customWidth="1"/>
    <col min="11" max="11" width="12.453125" bestFit="1" customWidth="1"/>
    <col min="12" max="12" width="12.6328125" bestFit="1" customWidth="1"/>
  </cols>
  <sheetData>
    <row r="2" spans="2:15" ht="14.5" customHeight="1" x14ac:dyDescent="0.35">
      <c r="B2" s="35"/>
      <c r="C2" s="35"/>
      <c r="D2" s="2" t="s">
        <v>22</v>
      </c>
      <c r="E2" s="2"/>
      <c r="F2" s="2"/>
      <c r="G2" s="35"/>
      <c r="H2" s="58" t="s">
        <v>21</v>
      </c>
      <c r="I2" s="58"/>
      <c r="J2" s="58"/>
    </row>
    <row r="3" spans="2:15" x14ac:dyDescent="0.35">
      <c r="B3" s="35"/>
      <c r="C3" s="35"/>
      <c r="D3" s="41" t="s">
        <v>0</v>
      </c>
      <c r="E3" s="42">
        <v>860</v>
      </c>
      <c r="F3" s="43" t="s">
        <v>1</v>
      </c>
      <c r="G3" s="35"/>
      <c r="H3" s="44" t="s">
        <v>8</v>
      </c>
      <c r="I3" s="44" t="s">
        <v>24</v>
      </c>
      <c r="J3" s="44" t="s">
        <v>23</v>
      </c>
    </row>
    <row r="4" spans="2:15" x14ac:dyDescent="0.35">
      <c r="B4" s="35"/>
      <c r="C4" s="35"/>
      <c r="D4" s="45" t="s">
        <v>3</v>
      </c>
      <c r="E4" s="35">
        <f>6*7*24</f>
        <v>1008</v>
      </c>
      <c r="F4" s="46" t="s">
        <v>4</v>
      </c>
      <c r="G4" s="35"/>
      <c r="H4" s="47">
        <v>0.75</v>
      </c>
      <c r="I4" s="44">
        <v>210</v>
      </c>
      <c r="J4" s="44">
        <v>202</v>
      </c>
    </row>
    <row r="5" spans="2:15" ht="28" customHeight="1" x14ac:dyDescent="0.35">
      <c r="B5" s="40" t="s">
        <v>2</v>
      </c>
      <c r="C5" s="35"/>
      <c r="D5" s="48" t="s">
        <v>5</v>
      </c>
      <c r="E5" s="35">
        <v>3500</v>
      </c>
      <c r="F5" s="49" t="s">
        <v>4</v>
      </c>
      <c r="G5" s="35"/>
      <c r="H5" s="47">
        <v>0.55000000000000004</v>
      </c>
      <c r="I5" s="44">
        <v>220</v>
      </c>
      <c r="J5" s="44">
        <v>209</v>
      </c>
      <c r="O5" s="1"/>
    </row>
    <row r="6" spans="2:15" ht="29" x14ac:dyDescent="0.35">
      <c r="B6" s="40" t="s">
        <v>34</v>
      </c>
      <c r="C6" s="35"/>
      <c r="D6" s="50" t="s">
        <v>6</v>
      </c>
      <c r="E6" s="51">
        <f>8</f>
        <v>8</v>
      </c>
      <c r="F6" s="52" t="s">
        <v>7</v>
      </c>
      <c r="G6" s="35"/>
      <c r="H6" s="47">
        <v>0.25</v>
      </c>
      <c r="I6" s="44">
        <v>274</v>
      </c>
      <c r="J6" s="44">
        <v>210</v>
      </c>
      <c r="O6" s="1"/>
    </row>
    <row r="7" spans="2:15" x14ac:dyDescent="0.35">
      <c r="C7" s="1"/>
      <c r="O7" s="1"/>
    </row>
    <row r="8" spans="2:15" x14ac:dyDescent="0.35">
      <c r="O8" s="1"/>
    </row>
    <row r="9" spans="2:15" x14ac:dyDescent="0.35">
      <c r="B9" s="4"/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29</v>
      </c>
      <c r="J9" s="4" t="s">
        <v>35</v>
      </c>
    </row>
    <row r="10" spans="2:15" x14ac:dyDescent="0.35">
      <c r="B10" s="57" t="s">
        <v>32</v>
      </c>
      <c r="C10" s="22" t="s">
        <v>14</v>
      </c>
      <c r="D10" s="4">
        <f>1000*0.55</f>
        <v>550</v>
      </c>
      <c r="E10" s="23">
        <f>D10/$E$3*I4</f>
        <v>134.30232558139537</v>
      </c>
      <c r="F10" s="24">
        <v>3500</v>
      </c>
      <c r="G10" s="25">
        <f t="shared" ref="G10:G17" si="0">E10*F10</f>
        <v>470058.13953488378</v>
      </c>
      <c r="H10" s="26">
        <f>G10*E$6</f>
        <v>3760465.1162790703</v>
      </c>
      <c r="I10" s="15" t="s">
        <v>28</v>
      </c>
      <c r="J10" s="15" t="s">
        <v>28</v>
      </c>
    </row>
    <row r="11" spans="2:15" x14ac:dyDescent="0.35">
      <c r="B11" s="57"/>
      <c r="C11" s="22" t="s">
        <v>15</v>
      </c>
      <c r="D11" s="4">
        <v>750</v>
      </c>
      <c r="E11" s="23">
        <f>D11/$E$3*$I$5</f>
        <v>191.86046511627907</v>
      </c>
      <c r="F11" s="24">
        <f>E5</f>
        <v>3500</v>
      </c>
      <c r="G11" s="25">
        <f t="shared" si="0"/>
        <v>671511.62790697673</v>
      </c>
      <c r="H11" s="26">
        <f>G11*E$6</f>
        <v>5372093.0232558139</v>
      </c>
      <c r="I11" s="15" t="s">
        <v>28</v>
      </c>
      <c r="J11" s="15" t="s">
        <v>28</v>
      </c>
    </row>
    <row r="12" spans="2:15" x14ac:dyDescent="0.35">
      <c r="B12" s="57"/>
      <c r="C12" s="4" t="s">
        <v>16</v>
      </c>
      <c r="D12" s="4">
        <f>1000*0.75</f>
        <v>750</v>
      </c>
      <c r="E12" s="23">
        <f>D12/$E$3*$I$5</f>
        <v>191.86046511627907</v>
      </c>
      <c r="F12" s="24">
        <v>1008</v>
      </c>
      <c r="G12" s="25">
        <f t="shared" si="0"/>
        <v>193395.34883720931</v>
      </c>
      <c r="H12" s="26">
        <f>G12*E$6</f>
        <v>1547162.7906976745</v>
      </c>
      <c r="I12" s="15" t="s">
        <v>28</v>
      </c>
      <c r="J12" s="15" t="s">
        <v>28</v>
      </c>
    </row>
    <row r="13" spans="2:15" x14ac:dyDescent="0.35">
      <c r="B13" s="57"/>
      <c r="C13" s="22" t="s">
        <v>27</v>
      </c>
      <c r="D13" s="4">
        <f>1000*0.25</f>
        <v>250</v>
      </c>
      <c r="E13" s="23">
        <f>D13/$E$3*I6*4</f>
        <v>318.60465116279073</v>
      </c>
      <c r="F13" s="6" t="s">
        <v>18</v>
      </c>
      <c r="G13" s="6" t="s">
        <v>18</v>
      </c>
      <c r="H13" s="6" t="s">
        <v>18</v>
      </c>
      <c r="I13" s="5" t="s">
        <v>28</v>
      </c>
      <c r="J13" s="5" t="s">
        <v>28</v>
      </c>
    </row>
    <row r="14" spans="2:15" ht="15" thickBot="1" x14ac:dyDescent="0.4">
      <c r="B14" s="27" t="s">
        <v>26</v>
      </c>
      <c r="C14" s="11" t="s">
        <v>17</v>
      </c>
      <c r="D14" s="12" t="s">
        <v>18</v>
      </c>
      <c r="E14" s="13" t="s">
        <v>19</v>
      </c>
      <c r="F14" s="14" t="s">
        <v>19</v>
      </c>
      <c r="G14" s="28">
        <f>SUM(G10:G12)</f>
        <v>1334965.1162790698</v>
      </c>
      <c r="H14" s="29">
        <f>SUM(H10:H12)</f>
        <v>10679720.930232558</v>
      </c>
      <c r="I14" s="16" t="s">
        <v>28</v>
      </c>
      <c r="J14" s="16" t="s">
        <v>28</v>
      </c>
    </row>
    <row r="15" spans="2:15" x14ac:dyDescent="0.35">
      <c r="B15" s="56" t="s">
        <v>33</v>
      </c>
      <c r="C15" s="30" t="s">
        <v>14</v>
      </c>
      <c r="D15" s="3">
        <f>1000*0.55</f>
        <v>550</v>
      </c>
      <c r="E15" s="31">
        <f>D15/$E$3*J4</f>
        <v>129.18604651162792</v>
      </c>
      <c r="F15" s="32">
        <v>3500</v>
      </c>
      <c r="G15" s="33">
        <f t="shared" si="0"/>
        <v>452151.16279069771</v>
      </c>
      <c r="H15" s="34">
        <f>G15*E$6</f>
        <v>3617209.3023255817</v>
      </c>
      <c r="I15" s="17" t="s">
        <v>28</v>
      </c>
      <c r="J15" s="17" t="s">
        <v>28</v>
      </c>
    </row>
    <row r="16" spans="2:15" x14ac:dyDescent="0.35">
      <c r="B16" s="57"/>
      <c r="C16" s="22" t="s">
        <v>15</v>
      </c>
      <c r="D16" s="4">
        <v>750</v>
      </c>
      <c r="E16" s="23">
        <f>D16/$E$3*$J$5</f>
        <v>182.26744186046511</v>
      </c>
      <c r="F16" s="24">
        <v>3500</v>
      </c>
      <c r="G16" s="25">
        <f t="shared" si="0"/>
        <v>637936.04651162785</v>
      </c>
      <c r="H16" s="26">
        <f>G16*E$6</f>
        <v>5103488.3720930228</v>
      </c>
      <c r="I16" s="15" t="s">
        <v>28</v>
      </c>
      <c r="J16" s="15" t="s">
        <v>28</v>
      </c>
    </row>
    <row r="17" spans="2:10" x14ac:dyDescent="0.35">
      <c r="B17" s="57"/>
      <c r="C17" s="4" t="s">
        <v>16</v>
      </c>
      <c r="D17" s="4">
        <f>1000*0.75</f>
        <v>750</v>
      </c>
      <c r="E17" s="23">
        <f>D17/$E$3*$J$5</f>
        <v>182.26744186046511</v>
      </c>
      <c r="F17" s="24">
        <v>1008</v>
      </c>
      <c r="G17" s="25">
        <f t="shared" si="0"/>
        <v>183725.58139534883</v>
      </c>
      <c r="H17" s="26">
        <f>G17*E$6</f>
        <v>1469804.6511627906</v>
      </c>
      <c r="I17" s="15" t="s">
        <v>28</v>
      </c>
      <c r="J17" s="15" t="s">
        <v>28</v>
      </c>
    </row>
    <row r="18" spans="2:10" x14ac:dyDescent="0.35">
      <c r="B18" s="18" t="s">
        <v>20</v>
      </c>
      <c r="C18" s="22" t="s">
        <v>27</v>
      </c>
      <c r="D18" s="4">
        <f>1000*0.25</f>
        <v>250</v>
      </c>
      <c r="E18" s="23">
        <f>D18/$E$3*J6*4</f>
        <v>244.18604651162792</v>
      </c>
      <c r="F18" s="5" t="s">
        <v>18</v>
      </c>
      <c r="G18" s="5" t="s">
        <v>18</v>
      </c>
      <c r="H18" s="5" t="s">
        <v>18</v>
      </c>
      <c r="I18" s="5" t="s">
        <v>28</v>
      </c>
      <c r="J18" s="5" t="s">
        <v>28</v>
      </c>
    </row>
    <row r="19" spans="2:10" ht="15" thickBot="1" x14ac:dyDescent="0.4">
      <c r="B19" s="27" t="s">
        <v>25</v>
      </c>
      <c r="C19" s="11" t="s">
        <v>17</v>
      </c>
      <c r="D19" s="12" t="s">
        <v>18</v>
      </c>
      <c r="E19" s="13" t="s">
        <v>19</v>
      </c>
      <c r="F19" s="14" t="s">
        <v>19</v>
      </c>
      <c r="G19" s="28">
        <f>SUM(G15:G17)</f>
        <v>1273812.7906976743</v>
      </c>
      <c r="H19" s="29">
        <f>SUM(H15:H17)</f>
        <v>10190502.325581394</v>
      </c>
      <c r="I19" s="16" t="s">
        <v>28</v>
      </c>
      <c r="J19" s="16" t="s">
        <v>28</v>
      </c>
    </row>
    <row r="20" spans="2:10" ht="15" thickBot="1" x14ac:dyDescent="0.4">
      <c r="B20" s="35"/>
      <c r="C20" s="35"/>
      <c r="D20" s="35"/>
      <c r="E20" s="35"/>
      <c r="F20" s="35"/>
      <c r="G20" s="35"/>
      <c r="H20" s="35"/>
      <c r="I20" s="35"/>
    </row>
    <row r="21" spans="2:10" ht="31" x14ac:dyDescent="0.35">
      <c r="B21" s="19" t="s">
        <v>30</v>
      </c>
      <c r="C21" s="7" t="s">
        <v>17</v>
      </c>
      <c r="D21" s="8" t="s">
        <v>18</v>
      </c>
      <c r="E21" s="9" t="s">
        <v>19</v>
      </c>
      <c r="F21" s="10" t="s">
        <v>19</v>
      </c>
      <c r="G21" s="36">
        <f>G19-G14</f>
        <v>-61152.325581395533</v>
      </c>
      <c r="H21" s="37">
        <f>H19-H14</f>
        <v>-489218.60465116426</v>
      </c>
      <c r="I21" s="53">
        <f>(H19-H14)/H14</f>
        <v>-4.5808182427900877E-2</v>
      </c>
      <c r="J21" s="55">
        <f>H21*5*30</f>
        <v>-73382790.697674632</v>
      </c>
    </row>
    <row r="22" spans="2:10" ht="16" thickBot="1" x14ac:dyDescent="0.4">
      <c r="B22" s="21" t="s">
        <v>31</v>
      </c>
      <c r="C22" s="38" t="s">
        <v>27</v>
      </c>
      <c r="D22" s="11">
        <f>1000*0.25</f>
        <v>250</v>
      </c>
      <c r="E22" s="39">
        <f>E13-E18</f>
        <v>74.418604651162809</v>
      </c>
      <c r="F22" s="20" t="s">
        <v>18</v>
      </c>
      <c r="G22" s="20" t="s">
        <v>18</v>
      </c>
      <c r="H22" s="20" t="s">
        <v>18</v>
      </c>
      <c r="I22" s="54">
        <f>(E18-E13)/E13</f>
        <v>-0.23357664233576644</v>
      </c>
      <c r="J22" s="20" t="s">
        <v>18</v>
      </c>
    </row>
  </sheetData>
  <mergeCells count="3">
    <mergeCell ref="B15:B17"/>
    <mergeCell ref="H2:J2"/>
    <mergeCell ref="B10:B13"/>
  </mergeCells>
  <pageMargins left="0.7" right="0.7" top="0.75" bottom="0.75" header="0.3" footer="0.3"/>
  <pageSetup paperSize="9" orientation="portrait" r:id="rId1"/>
  <headerFooter>
    <oddFooter>&amp;C&amp;1#&amp;"Calibri"&amp;10&amp;K000000Ugradert – internt. Skal ikke videreformidles utenfor forsvarssektoren.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Nyheim Øien</dc:creator>
  <cp:lastModifiedBy>Jostein Nyheim Øien</cp:lastModifiedBy>
  <dcterms:created xsi:type="dcterms:W3CDTF">2022-11-10T12:31:46Z</dcterms:created>
  <dcterms:modified xsi:type="dcterms:W3CDTF">2022-12-06T16:19:26Z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8183b9-7d95-43d2-acba-f1ec08e02a59_Enabled">
    <vt:lpwstr>true</vt:lpwstr>
  </property>
  <property fmtid="{D5CDD505-2E9C-101B-9397-08002B2CF9AE}" pid="3" name="MSIP_Label_ac8183b9-7d95-43d2-acba-f1ec08e02a59_SetDate">
    <vt:lpwstr>2022-12-03T11:50:02Z</vt:lpwstr>
  </property>
  <property fmtid="{D5CDD505-2E9C-101B-9397-08002B2CF9AE}" pid="4" name="MSIP_Label_ac8183b9-7d95-43d2-acba-f1ec08e02a59_Method">
    <vt:lpwstr>Privileged</vt:lpwstr>
  </property>
  <property fmtid="{D5CDD505-2E9C-101B-9397-08002B2CF9AE}" pid="5" name="MSIP_Label_ac8183b9-7d95-43d2-acba-f1ec08e02a59_Name">
    <vt:lpwstr>Ugradert – internt for forsvarssektoren</vt:lpwstr>
  </property>
  <property fmtid="{D5CDD505-2E9C-101B-9397-08002B2CF9AE}" pid="6" name="MSIP_Label_ac8183b9-7d95-43d2-acba-f1ec08e02a59_SiteId">
    <vt:lpwstr>1e0e6195-b5ec-427a-9cc1-db95904592f9</vt:lpwstr>
  </property>
  <property fmtid="{D5CDD505-2E9C-101B-9397-08002B2CF9AE}" pid="7" name="MSIP_Label_ac8183b9-7d95-43d2-acba-f1ec08e02a59_ActionId">
    <vt:lpwstr>e66ae8e5-d84d-4e5e-bdfa-eca18395b625</vt:lpwstr>
  </property>
  <property fmtid="{D5CDD505-2E9C-101B-9397-08002B2CF9AE}" pid="8" name="MSIP_Label_ac8183b9-7d95-43d2-acba-f1ec08e02a59_ContentBits">
    <vt:lpwstr>2</vt:lpwstr>
  </property>
</Properties>
</file>